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<sst xmlns="http://schemas.openxmlformats.org/spreadsheetml/2006/main" count="543" uniqueCount="227">
  <si>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</si>
  <si>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</si>
  <si>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</si>
  <si>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</si>
  <si>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</si>
  <si>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</si>
  <si>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</si>
  <si>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</si>
  <si>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</si>
  <si>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</si>
  <si>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</si>
  <si>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</si>
  <si>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</si>
  <si>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</si>
  <si>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</si>
  <si>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</si>
  <si>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</si>
  <si>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</si>
  <si>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</si>
  <si>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</si>
  <si>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</si>
  <si>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</si>
  <si>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</si>
  <si>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</si>
  <si>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</si>
  <si>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</si>
  <si>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</si>
  <si>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</si>
  <si>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</si>
  <si>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</si>
  <si>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</si>
  <si>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</si>
  <si>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</si>
  <si>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</si>
  <si>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</si>
  <si>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</si>
  <si>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</si>
  <si>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</si>
  <si>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</si>
  <si>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</si>
  <si>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</si>
  <si>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</si>
  <si>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</si>
  <si>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</si>
  <si>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</si>
  <si>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</si>
  <si>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</si>
  <si>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</si>
  <si>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</si>
  <si>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</si>
  <si>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</si>
  <si>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</si>
  <si>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</si>
  <si>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</si>
  <si>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</si>
  <si>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</si>
  <si>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</si>
  <si>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</si>
  <si>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</si>
  <si>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</si>
  <si>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</si>
  <si>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</si>
  <si>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</si>
  <si>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</si>
  <si>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</si>
  <si>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</si>
  <si>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</si>
  <si>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</si>
  <si>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</si>
  <si>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</si>
  <si>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</si>
  <si>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</si>
  <si>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</si>
  <si>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</si>
  <si>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</si>
  <si>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</si>
  <si>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</si>
  <si>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</si>
  <si>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</si>
  <si>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</si>
  <si>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</si>
  <si>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</si>
  <si>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</si>
  <si>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</si>
  <si>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</si>
  <si>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</si>
  <si>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</si>
  <si>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</si>
  <si>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</si>
  <si>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</si>
  <si>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</si>
  <si>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</si>
  <si>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</si>
  <si>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</si>
  <si>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</si>
  <si>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</si>
  <si>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</si>
  <si>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</si>
  <si>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</si>
  <si>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</si>
  <si>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</si>
  <si>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</si>
  <si>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</si>
  <si>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</si>
  <si>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</si>
  <si>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</si>
  <si>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</si>
  <si>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</si>
  <si>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</si>
  <si>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</si>
  <si>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</si>
  <si>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</si>
  <si>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</si>
  <si>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</si>
  <si>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</si>
  <si>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</si>
  <si>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</si>
  <si>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</si>
  <si>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</si>
  <si>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</si>
  <si>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</si>
  <si>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</si>
  <si>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</si>
  <si>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</si>
  <si>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</si>
  <si>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</si>
  <si>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</si>
  <si>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</si>
  <si>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</si>
  <si>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</si>
  <si>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</si>
  <si>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</si>
  <si>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</si>
  <si>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</si>
  <si>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</si>
  <si>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</si>
  <si>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</si>
  <si>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</si>
  <si>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</si>
  <si>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</si>
  <si>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</si>
  <si>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</si>
  <si>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</si>
  <si>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</si>
  <si>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</si>
  <si>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</si>
  <si>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</si>
  <si>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</si>
  <si>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</si>
  <si>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</si>
  <si>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</si>
  <si>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</si>
  <si>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</si>
  <si>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</si>
  <si>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</si>
  <si>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</si>
  <si>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</si>
  <si>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</si>
  <si>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</si>
  <si>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</si>
  <si>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</si>
  <si>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</si>
  <si>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</si>
  <si>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</si>
  <si>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</si>
  <si>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</si>
  <si>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</si>
  <si>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</si>
  <si>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</si>
  <si>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</si>
  <si>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</si>
  <si>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</si>
  <si>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</si>
  <si>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</si>
  <si>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</si>
  <si>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</si>
  <si>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</si>
  <si>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</si>
  <si>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</si>
  <si>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</si>
  <si>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</si>
  <si>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</si>
  <si>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</si>
  <si>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</si>
  <si>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</si>
  <si>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</si>
  <si>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</si>
  <si>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</si>
  <si>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</si>
  <si>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</si>
  <si>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</si>
  <si>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</si>
  <si>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</si>
  <si>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</si>
  <si>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</si>
  <si>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</si>
  <si>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</si>
  <si>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</si>
  <si>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</si>
  <si>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</si>
  <si>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</si>
  <si>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</si>
  <si>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</si>
  <si>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</si>
  <si>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</si>
  <si>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</si>
  <si>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</si>
  <si>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</si>
  <si>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</si>
  <si>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</si>
  <si>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</si>
  <si>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</si>
  <si>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</si>
  <si>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</si>
  <si>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</si>
  <si>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</si>
  <si>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</si>
  <si>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</si>
  <si>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</si>
  <si>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</si>
  <si>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</si>
  <si>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</si>
  <si>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</si>
  <si>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</si>
  <si>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t>Динаміка  фактичних надходжень січень-лютий 2014 та 2015 років в умовах 2015р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</si>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</sst>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  <sheetName val="очік-12"/>
    </sheetNames>
    <sheetDataSet>
      <sheetData sheetId="17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3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08" sqref="D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6" t="s">
        <v>225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17"/>
      <c r="R1" s="118"/>
    </row>
    <row r="2" spans="2:18" s="1" customFormat="1" ht="15.75" customHeight="1">
      <c r="B2" s="207"/>
      <c r="C2" s="207"/>
      <c r="D2" s="207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8"/>
      <c r="B3" s="210" t="s">
        <v>205</v>
      </c>
      <c r="C3" s="211" t="s">
        <v>0</v>
      </c>
      <c r="D3" s="212" t="s">
        <v>216</v>
      </c>
      <c r="E3" s="40"/>
      <c r="F3" s="213" t="s">
        <v>107</v>
      </c>
      <c r="G3" s="214"/>
      <c r="H3" s="214"/>
      <c r="I3" s="214"/>
      <c r="J3" s="215"/>
      <c r="K3" s="114"/>
      <c r="L3" s="114"/>
      <c r="M3" s="216" t="s">
        <v>221</v>
      </c>
      <c r="N3" s="217" t="s">
        <v>202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199</v>
      </c>
      <c r="F4" s="200" t="s">
        <v>116</v>
      </c>
      <c r="G4" s="202" t="s">
        <v>200</v>
      </c>
      <c r="H4" s="204" t="s">
        <v>201</v>
      </c>
      <c r="I4" s="197" t="s">
        <v>217</v>
      </c>
      <c r="J4" s="193" t="s">
        <v>218</v>
      </c>
      <c r="K4" s="116" t="s">
        <v>172</v>
      </c>
      <c r="L4" s="121" t="s">
        <v>171</v>
      </c>
      <c r="M4" s="193"/>
      <c r="N4" s="195" t="s">
        <v>226</v>
      </c>
      <c r="O4" s="197" t="s">
        <v>136</v>
      </c>
      <c r="P4" s="199" t="s">
        <v>135</v>
      </c>
      <c r="Q4" s="122" t="s">
        <v>172</v>
      </c>
      <c r="R4" s="123" t="s">
        <v>171</v>
      </c>
    </row>
    <row r="5" spans="1:19" ht="92.25" customHeight="1">
      <c r="A5" s="209"/>
      <c r="B5" s="210"/>
      <c r="C5" s="211"/>
      <c r="D5" s="212"/>
      <c r="E5" s="219"/>
      <c r="F5" s="201"/>
      <c r="G5" s="203"/>
      <c r="H5" s="205"/>
      <c r="I5" s="198"/>
      <c r="J5" s="194"/>
      <c r="K5" s="190" t="s">
        <v>224</v>
      </c>
      <c r="L5" s="191"/>
      <c r="M5" s="194"/>
      <c r="N5" s="196"/>
      <c r="O5" s="198"/>
      <c r="P5" s="199"/>
      <c r="Q5" s="190" t="s">
        <v>176</v>
      </c>
      <c r="R5" s="19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54173.259999999995</v>
      </c>
      <c r="G8" s="18">
        <f aca="true" t="shared" si="0" ref="G8:G42">F8-E8</f>
        <v>-24934.740000000005</v>
      </c>
      <c r="H8" s="45">
        <f>F8/E8*100</f>
        <v>68.48012843201698</v>
      </c>
      <c r="I8" s="31">
        <f aca="true" t="shared" si="1" ref="I8:I42">F8-D8</f>
        <v>-463255.74</v>
      </c>
      <c r="J8" s="31">
        <f aca="true" t="shared" si="2" ref="J8:J14">F8/D8*100</f>
        <v>10.469699224434656</v>
      </c>
      <c r="K8" s="31"/>
      <c r="L8" s="31"/>
      <c r="M8" s="18">
        <f>M10+M19+M30+M33+M34+M42</f>
        <v>44056.1</v>
      </c>
      <c r="N8" s="18">
        <f>N10+N19+N30+N33+N34+N42</f>
        <v>16458.943999999992</v>
      </c>
      <c r="O8" s="31">
        <f aca="true" t="shared" si="3" ref="O8:O45">N8-M8</f>
        <v>-27597.156000000006</v>
      </c>
      <c r="P8" s="31">
        <f>F8/M8*100</f>
        <v>122.96426601537584</v>
      </c>
      <c r="Q8" s="31">
        <f>N8-33748.16</f>
        <v>-17289.21600000001</v>
      </c>
      <c r="R8" s="125">
        <f>N8/33748.16</f>
        <v>0.48769900344196515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33371.95</v>
      </c>
      <c r="G9" s="18">
        <f t="shared" si="0"/>
        <v>33371.95</v>
      </c>
      <c r="H9" s="16"/>
      <c r="I9" s="50">
        <f t="shared" si="1"/>
        <v>-279318.05</v>
      </c>
      <c r="J9" s="50">
        <f t="shared" si="2"/>
        <v>10.672535098660013</v>
      </c>
      <c r="K9" s="50"/>
      <c r="L9" s="50"/>
      <c r="M9" s="16">
        <f>M10+M17</f>
        <v>23924</v>
      </c>
      <c r="N9" s="16">
        <f>N10+N17</f>
        <v>10162.573999999993</v>
      </c>
      <c r="O9" s="31">
        <f t="shared" si="3"/>
        <v>-13761.426000000007</v>
      </c>
      <c r="P9" s="50">
        <f>F9/M9*100</f>
        <v>139.4915147968567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33371.95</v>
      </c>
      <c r="G10" s="43">
        <f t="shared" si="0"/>
        <v>-11557.450000000004</v>
      </c>
      <c r="H10" s="35">
        <f aca="true" t="shared" si="4" ref="H10:H42">F10/E10*100</f>
        <v>74.27642033946591</v>
      </c>
      <c r="I10" s="50">
        <f t="shared" si="1"/>
        <v>-279318.05</v>
      </c>
      <c r="J10" s="50">
        <f t="shared" si="2"/>
        <v>10.672535098660013</v>
      </c>
      <c r="K10" s="132">
        <f>F10-54745.99/75*60</f>
        <v>-10424.841999999997</v>
      </c>
      <c r="L10" s="132">
        <f>F10/(54745.99/75*60)*100</f>
        <v>76.19724750616437</v>
      </c>
      <c r="M10" s="35">
        <f>E10-'січень-2'!E10</f>
        <v>23924</v>
      </c>
      <c r="N10" s="35">
        <f>F10-'січень-2'!F10</f>
        <v>10162.573999999993</v>
      </c>
      <c r="O10" s="47">
        <f t="shared" si="3"/>
        <v>-13761.426000000007</v>
      </c>
      <c r="P10" s="50">
        <f aca="true" t="shared" si="5" ref="P10:P42">N10/M10*100</f>
        <v>42.478573817087415</v>
      </c>
      <c r="Q10" s="132">
        <f>N10-26568.11</f>
        <v>-16405.536000000007</v>
      </c>
      <c r="R10" s="133">
        <f>N10/26568.11</f>
        <v>0.38251023501483516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-566.21</v>
      </c>
      <c r="G19" s="43">
        <f t="shared" si="0"/>
        <v>-566.21</v>
      </c>
      <c r="H19" s="35"/>
      <c r="I19" s="50">
        <f t="shared" si="1"/>
        <v>-1066.21</v>
      </c>
      <c r="J19" s="50">
        <f aca="true" t="shared" si="6" ref="J19:J30">F19/D19*100</f>
        <v>-113.242</v>
      </c>
      <c r="K19" s="50">
        <f>F19-739.11</f>
        <v>-1305.3200000000002</v>
      </c>
      <c r="L19" s="50">
        <f>F19/739.11*100</f>
        <v>-76.60700031118508</v>
      </c>
      <c r="M19" s="35">
        <f>E19-'січень-2'!E19</f>
        <v>0</v>
      </c>
      <c r="N19" s="35">
        <f>F19-'січень-2'!F19</f>
        <v>0.12999999999999545</v>
      </c>
      <c r="O19" s="47">
        <f t="shared" si="3"/>
        <v>0.12999999999999545</v>
      </c>
      <c r="P19" s="50"/>
      <c r="Q19" s="50">
        <f>N19-358.81</f>
        <v>-358.68</v>
      </c>
      <c r="R19" s="126">
        <f>N19/358.81</f>
        <v>0.00036230874278864986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135">
        <f t="shared" si="0"/>
        <v>-438.35</v>
      </c>
      <c r="H29" s="137"/>
      <c r="I29" s="136">
        <f t="shared" si="1"/>
        <v>-438.35</v>
      </c>
      <c r="J29" s="136"/>
      <c r="K29" s="136">
        <f>F29-717.64</f>
        <v>-1155.99</v>
      </c>
      <c r="L29" s="136">
        <f>F29/717.64*100</f>
        <v>-61.082158185162484</v>
      </c>
      <c r="M29" s="137">
        <f>E29-'січень-2'!E29</f>
        <v>0</v>
      </c>
      <c r="N29" s="137">
        <f>F29-'січень-2'!F29</f>
        <v>0</v>
      </c>
      <c r="O29" s="138">
        <f t="shared" si="3"/>
        <v>0</v>
      </c>
      <c r="P29" s="50"/>
      <c r="Q29" s="136">
        <f>N29-358.81</f>
        <v>-358.81</v>
      </c>
      <c r="R29" s="141">
        <f>N29/358.79</f>
        <v>0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50"/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3.88</v>
      </c>
      <c r="G33" s="43">
        <f t="shared" si="0"/>
        <v>-2716.12</v>
      </c>
      <c r="H33" s="35">
        <f t="shared" si="4"/>
        <v>0.1426470588235294</v>
      </c>
      <c r="I33" s="50">
        <f t="shared" si="1"/>
        <v>-29946.12</v>
      </c>
      <c r="J33" s="178">
        <f>F33/D33*100</f>
        <v>0.012954924874791319</v>
      </c>
      <c r="K33" s="136"/>
      <c r="L33" s="136"/>
      <c r="M33" s="35">
        <f>E33-'січень-2'!E33</f>
        <v>2720</v>
      </c>
      <c r="N33" s="35">
        <f>F33-'січень-2'!F33</f>
        <v>3.88</v>
      </c>
      <c r="O33" s="47">
        <f t="shared" si="3"/>
        <v>-2716.12</v>
      </c>
      <c r="P33" s="50">
        <f t="shared" si="5"/>
        <v>0.1426470588235294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21325.14</v>
      </c>
      <c r="G34" s="43">
        <f t="shared" si="0"/>
        <v>-8135.360000000001</v>
      </c>
      <c r="H34" s="35">
        <f t="shared" si="4"/>
        <v>72.38553317153476</v>
      </c>
      <c r="I34" s="50">
        <f t="shared" si="1"/>
        <v>-145444.86</v>
      </c>
      <c r="J34" s="178">
        <f aca="true" t="shared" si="11" ref="J34:J42">F34/D34*100</f>
        <v>12.787155963302752</v>
      </c>
      <c r="K34" s="136"/>
      <c r="L34" s="136"/>
      <c r="M34" s="35">
        <f>E34-'січень-2'!E34</f>
        <v>15424</v>
      </c>
      <c r="N34" s="35">
        <f>F34-'січень-2'!F34</f>
        <v>6262.870000000001</v>
      </c>
      <c r="O34" s="47">
        <f t="shared" si="3"/>
        <v>-9161.13</v>
      </c>
      <c r="P34" s="50">
        <f t="shared" si="5"/>
        <v>40.60470695020747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7515.47</v>
      </c>
      <c r="G35" s="43">
        <f t="shared" si="0"/>
        <v>-6239.03</v>
      </c>
      <c r="H35" s="35">
        <f t="shared" si="4"/>
        <v>54.64008142789633</v>
      </c>
      <c r="I35" s="50">
        <f t="shared" si="1"/>
        <v>-90684.53</v>
      </c>
      <c r="J35" s="178">
        <f t="shared" si="11"/>
        <v>7.653228105906313</v>
      </c>
      <c r="K35" s="136"/>
      <c r="L35" s="136"/>
      <c r="M35" s="35">
        <f>E35-'січень-2'!E35</f>
        <v>7220</v>
      </c>
      <c r="N35" s="35">
        <f>F35-'січень-2'!F35</f>
        <v>932.79</v>
      </c>
      <c r="O35" s="47">
        <f t="shared" si="3"/>
        <v>-6287.21</v>
      </c>
      <c r="P35" s="50">
        <f t="shared" si="5"/>
        <v>12.919529085872576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88.41</v>
      </c>
      <c r="G36" s="135">
        <f t="shared" si="0"/>
        <v>-16.090000000000003</v>
      </c>
      <c r="H36" s="137">
        <f t="shared" si="4"/>
        <v>84.60287081339712</v>
      </c>
      <c r="I36" s="136">
        <f t="shared" si="1"/>
        <v>-911.59</v>
      </c>
      <c r="J36" s="136">
        <f t="shared" si="11"/>
        <v>8.841000000000001</v>
      </c>
      <c r="K36" s="136">
        <f>F36-54.3</f>
        <v>34.11</v>
      </c>
      <c r="L36" s="136">
        <f>F36/54.3*100</f>
        <v>162.81767955801106</v>
      </c>
      <c r="M36" s="137">
        <f>E36-'січень-2'!E36</f>
        <v>20</v>
      </c>
      <c r="N36" s="137">
        <f>F36-'січень-2'!F36</f>
        <v>3.739999999999995</v>
      </c>
      <c r="O36" s="47">
        <f t="shared" si="3"/>
        <v>-16.260000000000005</v>
      </c>
      <c r="P36" s="50">
        <f t="shared" si="5"/>
        <v>18.699999999999974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135">
        <f t="shared" si="0"/>
        <v>0</v>
      </c>
      <c r="H37" s="137"/>
      <c r="I37" s="136">
        <f t="shared" si="1"/>
        <v>-1500</v>
      </c>
      <c r="J37" s="136">
        <f t="shared" si="11"/>
        <v>0</v>
      </c>
      <c r="K37" s="136"/>
      <c r="L37" s="136"/>
      <c r="M37" s="137">
        <f>E37-'січень-2'!E37</f>
        <v>0</v>
      </c>
      <c r="N37" s="137">
        <f>F37-'січень-2'!F37</f>
        <v>0</v>
      </c>
      <c r="O37" s="47">
        <f t="shared" si="3"/>
        <v>0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7427.06</v>
      </c>
      <c r="G38" s="135">
        <f t="shared" si="0"/>
        <v>-6222.94</v>
      </c>
      <c r="H38" s="137">
        <f t="shared" si="4"/>
        <v>54.410695970695976</v>
      </c>
      <c r="I38" s="136">
        <f t="shared" si="1"/>
        <v>-88272.94</v>
      </c>
      <c r="J38" s="136">
        <f t="shared" si="11"/>
        <v>7.760773249738767</v>
      </c>
      <c r="K38" s="139">
        <f>F38-6293.3</f>
        <v>1133.7600000000002</v>
      </c>
      <c r="L38" s="139">
        <f>F38/6293.3*100</f>
        <v>118.01534965757234</v>
      </c>
      <c r="M38" s="137">
        <f>E38-'січень-2'!E38</f>
        <v>7200</v>
      </c>
      <c r="N38" s="137">
        <f>F38-'січень-2'!F38</f>
        <v>929.0500000000002</v>
      </c>
      <c r="O38" s="47">
        <f t="shared" si="3"/>
        <v>-6270.95</v>
      </c>
      <c r="P38" s="50">
        <f t="shared" si="5"/>
        <v>12.903472222222225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7.97</v>
      </c>
      <c r="G39" s="43">
        <f t="shared" si="0"/>
        <v>1.9699999999999998</v>
      </c>
      <c r="H39" s="35">
        <f t="shared" si="4"/>
        <v>132.83333333333334</v>
      </c>
      <c r="I39" s="50">
        <f t="shared" si="1"/>
        <v>-62.03</v>
      </c>
      <c r="J39" s="178">
        <f t="shared" si="11"/>
        <v>11.385714285714284</v>
      </c>
      <c r="K39" s="178">
        <f>F39-15.44</f>
        <v>-7.47</v>
      </c>
      <c r="L39" s="178">
        <f>F39/15.44*100</f>
        <v>51.619170984455955</v>
      </c>
      <c r="M39" s="35">
        <f>E39-'січень-2'!E39</f>
        <v>4</v>
      </c>
      <c r="N39" s="35">
        <f>F39-'січень-2'!F39</f>
        <v>5.57</v>
      </c>
      <c r="O39" s="47">
        <f t="shared" si="3"/>
        <v>1.5700000000000003</v>
      </c>
      <c r="P39" s="50">
        <f t="shared" si="5"/>
        <v>139.25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146.67</v>
      </c>
      <c r="G40" s="43">
        <f t="shared" si="0"/>
        <v>146.67</v>
      </c>
      <c r="H40" s="35"/>
      <c r="I40" s="50">
        <f t="shared" si="1"/>
        <v>146.67</v>
      </c>
      <c r="J40" s="136"/>
      <c r="K40" s="136"/>
      <c r="L40" s="136"/>
      <c r="M40" s="35">
        <f>E40-'січень-2'!E40</f>
        <v>0</v>
      </c>
      <c r="N40" s="35">
        <f>F40-'січень-2'!F40</f>
        <v>3.9599999999999795</v>
      </c>
      <c r="O40" s="47">
        <f t="shared" si="3"/>
        <v>3.9599999999999795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13655.03</v>
      </c>
      <c r="G41" s="43">
        <f t="shared" si="0"/>
        <v>-2044.9699999999993</v>
      </c>
      <c r="H41" s="35">
        <f t="shared" si="4"/>
        <v>86.97471337579618</v>
      </c>
      <c r="I41" s="50">
        <f t="shared" si="1"/>
        <v>-54844.97</v>
      </c>
      <c r="J41" s="178">
        <f t="shared" si="11"/>
        <v>19.934350364963503</v>
      </c>
      <c r="K41" s="132">
        <f>F41-16881.34</f>
        <v>-3226.3099999999995</v>
      </c>
      <c r="L41" s="132">
        <f>F41/16881.34*100</f>
        <v>80.88830626004808</v>
      </c>
      <c r="M41" s="35">
        <f>E41-'січень-2'!E41</f>
        <v>8200</v>
      </c>
      <c r="N41" s="35">
        <f>F41-'січень-2'!F41</f>
        <v>5320.550000000001</v>
      </c>
      <c r="O41" s="47">
        <f t="shared" si="3"/>
        <v>-2879.449999999999</v>
      </c>
      <c r="P41" s="50">
        <f t="shared" si="5"/>
        <v>64.884756097561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22.7</v>
      </c>
      <c r="G42" s="43">
        <f t="shared" si="0"/>
        <v>-1962.3999999999999</v>
      </c>
      <c r="H42" s="35">
        <f t="shared" si="4"/>
        <v>1.1435192181754068</v>
      </c>
      <c r="I42" s="50">
        <f t="shared" si="1"/>
        <v>-7477.3</v>
      </c>
      <c r="J42" s="136">
        <f t="shared" si="11"/>
        <v>0.30266666666666664</v>
      </c>
      <c r="K42" s="178">
        <f>F42-3484.64</f>
        <v>-3461.94</v>
      </c>
      <c r="L42" s="178">
        <f>F42/3484.64*100</f>
        <v>0.6514302768722163</v>
      </c>
      <c r="M42" s="35">
        <f>E42-'січень-2'!E42</f>
        <v>1975.1</v>
      </c>
      <c r="N42" s="35">
        <f>F42-'січень-2'!F42</f>
        <v>13.809999999999999</v>
      </c>
      <c r="O42" s="47">
        <f t="shared" si="3"/>
        <v>-1961.29</v>
      </c>
      <c r="P42" s="50">
        <f t="shared" si="5"/>
        <v>0.6992051035390613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D51+D60+D61+D62+D63+D70+D71+D72+D74+D78+D69</f>
        <v>12567.1</v>
      </c>
      <c r="E48" s="18">
        <f>E51+E60+E61+E62+E63+E70+E71+E72+E74+E78+E69</f>
        <v>2080.5</v>
      </c>
      <c r="F48" s="18">
        <f>F51+F60+F61+F62+F63+F70+F71+F72+F74+F78+F69</f>
        <v>2807.05</v>
      </c>
      <c r="G48" s="44">
        <f aca="true" t="shared" si="12" ref="G48:G80">F48-E48</f>
        <v>726.5500000000002</v>
      </c>
      <c r="H48" s="45">
        <f aca="true" t="shared" si="13" ref="H48:H59">F48/E48*100</f>
        <v>134.92189377553473</v>
      </c>
      <c r="I48" s="31">
        <f aca="true" t="shared" si="14" ref="I48:I80">F48-D48</f>
        <v>-9760.05</v>
      </c>
      <c r="J48" s="31">
        <f aca="true" t="shared" si="15" ref="J48:J66">F48/D48*100</f>
        <v>22.336497680451338</v>
      </c>
      <c r="K48" s="31"/>
      <c r="L48" s="31"/>
      <c r="M48" s="18">
        <f>M51+M60+M61+M62+M63+M70+M71+M72+M74+M78+M69</f>
        <v>1040.5</v>
      </c>
      <c r="N48" s="18">
        <f>N51+N60+N61+N62+N63+N70+N71+N72+N74+N78+N69</f>
        <v>1784.6699999999998</v>
      </c>
      <c r="O48" s="49">
        <f aca="true" t="shared" si="16" ref="O48:O80">N48-M48</f>
        <v>744.1699999999998</v>
      </c>
      <c r="P48" s="31">
        <f>N48/M48*100</f>
        <v>171.52042287361843</v>
      </c>
      <c r="Q48" s="31">
        <f>N48-1017.63</f>
        <v>767.0399999999998</v>
      </c>
      <c r="R48" s="127">
        <f>N48/1017.63</f>
        <v>1.753751363462162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0</v>
      </c>
      <c r="G51" s="43">
        <f t="shared" si="12"/>
        <v>-25</v>
      </c>
      <c r="H51" s="35">
        <f t="shared" si="13"/>
        <v>0</v>
      </c>
      <c r="I51" s="50">
        <f t="shared" si="14"/>
        <v>-200</v>
      </c>
      <c r="J51" s="50">
        <f t="shared" si="15"/>
        <v>0</v>
      </c>
      <c r="K51" s="50">
        <f>F51-15.87</f>
        <v>-15.87</v>
      </c>
      <c r="L51" s="50">
        <f>F51/15.87*100</f>
        <v>0</v>
      </c>
      <c r="M51" s="35">
        <f>E51-'січень-2'!E51</f>
        <v>20</v>
      </c>
      <c r="N51" s="35">
        <f>F51-'січень-2'!F51</f>
        <v>0</v>
      </c>
      <c r="O51" s="47">
        <f t="shared" si="16"/>
        <v>-20</v>
      </c>
      <c r="P51" s="50">
        <f aca="true" t="shared" si="17" ref="P51:P59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/>
      <c r="L52" s="50">
        <f aca="true" t="shared" si="18" ref="L52:L76">F52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/>
      <c r="L53" s="50">
        <f t="shared" si="18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/>
      <c r="L54" s="50">
        <f t="shared" si="18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/>
      <c r="L55" s="50">
        <f t="shared" si="18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/>
      <c r="L56" s="50">
        <f t="shared" si="18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/>
      <c r="L57" s="50">
        <f t="shared" si="18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/>
      <c r="L58" s="50">
        <f t="shared" si="18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/>
      <c r="L59" s="50">
        <f t="shared" si="18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>F60-0</f>
        <v>0</v>
      </c>
      <c r="L60" s="50" t="e">
        <f>F60/0*100</f>
        <v>#DIV/0!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/>
      <c r="L61" s="50"/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F62-0</f>
        <v>0</v>
      </c>
      <c r="L62" s="50" t="e">
        <f>F62/0*100</f>
        <v>#DIV/0!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10.56</v>
      </c>
      <c r="G63" s="43">
        <f t="shared" si="12"/>
        <v>-5.4399999999999995</v>
      </c>
      <c r="H63" s="35">
        <f>F63/E63*100</f>
        <v>66</v>
      </c>
      <c r="I63" s="50">
        <f t="shared" si="14"/>
        <v>-129.44</v>
      </c>
      <c r="J63" s="50">
        <v>10</v>
      </c>
      <c r="K63" s="50">
        <f>F63-9.02</f>
        <v>1.540000000000001</v>
      </c>
      <c r="L63" s="50">
        <f>F63/9.02*100</f>
        <v>117.07317073170734</v>
      </c>
      <c r="M63" s="35">
        <f>E63-'січень-2'!E63</f>
        <v>10</v>
      </c>
      <c r="N63" s="35">
        <f>F63-'січень-2'!F63</f>
        <v>2.960000000000001</v>
      </c>
      <c r="O63" s="47">
        <f t="shared" si="16"/>
        <v>-7.039999999999999</v>
      </c>
      <c r="P63" s="50">
        <f>N63/M63*100</f>
        <v>29.60000000000001</v>
      </c>
      <c r="Q63" s="50">
        <f>N63-9.02</f>
        <v>-6.059999999999999</v>
      </c>
      <c r="R63" s="126">
        <f>N63/9.02</f>
        <v>0.3281596452328161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/>
      <c r="L64" s="50">
        <f t="shared" si="18"/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/>
      <c r="L65" s="50">
        <f t="shared" si="18"/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/>
      <c r="L66" s="50">
        <f t="shared" si="18"/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/>
      <c r="L67" s="50">
        <f t="shared" si="18"/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/>
      <c r="L68" s="50">
        <f t="shared" si="18"/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15.75">
      <c r="A69" s="8"/>
      <c r="B69" s="41" t="s">
        <v>222</v>
      </c>
      <c r="C69" s="95">
        <v>22012500</v>
      </c>
      <c r="D69" s="36">
        <v>0</v>
      </c>
      <c r="E69" s="36">
        <v>0</v>
      </c>
      <c r="F69" s="143">
        <v>9.33</v>
      </c>
      <c r="G69" s="43">
        <f t="shared" si="12"/>
        <v>9.33</v>
      </c>
      <c r="H69" s="35"/>
      <c r="I69" s="50">
        <f t="shared" si="14"/>
        <v>9.33</v>
      </c>
      <c r="J69" s="50"/>
      <c r="K69" s="50"/>
      <c r="L69" s="50">
        <f t="shared" si="18"/>
        <v>9.33</v>
      </c>
      <c r="M69" s="35">
        <f>E690</f>
        <v>0</v>
      </c>
      <c r="N69" s="35">
        <f>F69-0</f>
        <v>9.33</v>
      </c>
      <c r="O69" s="47"/>
      <c r="P69" s="50"/>
      <c r="Q69" s="50"/>
      <c r="R69" s="126"/>
    </row>
    <row r="70" spans="1:18" s="6" customFormat="1" ht="31.5">
      <c r="A70" s="8"/>
      <c r="B70" s="15" t="s">
        <v>78</v>
      </c>
      <c r="C70" s="67">
        <v>22080401</v>
      </c>
      <c r="D70" s="36">
        <v>6900</v>
      </c>
      <c r="E70" s="36">
        <v>1240</v>
      </c>
      <c r="F70" s="143">
        <v>1319.17</v>
      </c>
      <c r="G70" s="43">
        <f t="shared" si="12"/>
        <v>79.17000000000007</v>
      </c>
      <c r="H70" s="35">
        <f>F70/E70*100</f>
        <v>106.38467741935484</v>
      </c>
      <c r="I70" s="50">
        <f t="shared" si="14"/>
        <v>-5580.83</v>
      </c>
      <c r="J70" s="50">
        <v>550</v>
      </c>
      <c r="K70" s="50">
        <f>F70-647.49</f>
        <v>671.6800000000001</v>
      </c>
      <c r="L70" s="50">
        <f>F70/647.49*100</f>
        <v>203.73596503420904</v>
      </c>
      <c r="M70" s="35">
        <f>E70-'січень-2'!E69</f>
        <v>550</v>
      </c>
      <c r="N70" s="35">
        <f>F70-'січень-2'!F69</f>
        <v>628.47</v>
      </c>
      <c r="O70" s="47">
        <f t="shared" si="16"/>
        <v>78.47000000000003</v>
      </c>
      <c r="P70" s="50">
        <f>N70/M70*100</f>
        <v>114.26727272727273</v>
      </c>
      <c r="Q70" s="50">
        <f>N70-647.49</f>
        <v>-19.019999999999982</v>
      </c>
      <c r="R70" s="126">
        <f>N70/647.49</f>
        <v>0.9706250289579762</v>
      </c>
    </row>
    <row r="71" spans="1:18" s="6" customFormat="1" ht="15.75">
      <c r="A71" s="8"/>
      <c r="B71" s="15" t="s">
        <v>80</v>
      </c>
      <c r="C71" s="59">
        <v>22090000</v>
      </c>
      <c r="D71" s="36">
        <v>1100</v>
      </c>
      <c r="E71" s="36">
        <v>149</v>
      </c>
      <c r="F71" s="143">
        <v>979.29</v>
      </c>
      <c r="G71" s="43">
        <f t="shared" si="12"/>
        <v>830.29</v>
      </c>
      <c r="H71" s="35">
        <f>F71/E71*100</f>
        <v>657.2416107382551</v>
      </c>
      <c r="I71" s="50">
        <f t="shared" si="14"/>
        <v>-120.71000000000004</v>
      </c>
      <c r="J71" s="50">
        <v>90</v>
      </c>
      <c r="K71" s="50">
        <f>F71-79.51</f>
        <v>899.78</v>
      </c>
      <c r="L71" s="50">
        <f>F71/79.51*100</f>
        <v>1231.6563954219594</v>
      </c>
      <c r="M71" s="35">
        <f>E71-'січень-2'!E70</f>
        <v>90</v>
      </c>
      <c r="N71" s="35">
        <f>F71-'січень-2'!F70</f>
        <v>920.0799999999999</v>
      </c>
      <c r="O71" s="47">
        <f t="shared" si="16"/>
        <v>830.0799999999999</v>
      </c>
      <c r="P71" s="50">
        <f>N71/M71*100</f>
        <v>1022.3111111111111</v>
      </c>
      <c r="Q71" s="50">
        <f>N71-79.51</f>
        <v>840.5699999999999</v>
      </c>
      <c r="R71" s="126">
        <f>N71/79.51</f>
        <v>11.571877751226259</v>
      </c>
    </row>
    <row r="72" spans="1:18" s="6" customFormat="1" ht="47.25">
      <c r="A72" s="8"/>
      <c r="B72" s="15" t="s">
        <v>96</v>
      </c>
      <c r="C72" s="13" t="s">
        <v>97</v>
      </c>
      <c r="D72" s="36">
        <v>7.6</v>
      </c>
      <c r="E72" s="36">
        <v>0</v>
      </c>
      <c r="F72" s="143">
        <v>0</v>
      </c>
      <c r="G72" s="43">
        <f t="shared" si="12"/>
        <v>0</v>
      </c>
      <c r="H72" s="35"/>
      <c r="I72" s="50">
        <f t="shared" si="14"/>
        <v>-7.6</v>
      </c>
      <c r="J72" s="50"/>
      <c r="K72" s="50"/>
      <c r="L72" s="50"/>
      <c r="M72" s="35">
        <f>E72-'січень '!M97</f>
        <v>0</v>
      </c>
      <c r="N72" s="35">
        <f>F72-'січень-2'!F71</f>
        <v>0</v>
      </c>
      <c r="O72" s="47">
        <f t="shared" si="16"/>
        <v>0</v>
      </c>
      <c r="P72" s="50"/>
      <c r="Q72" s="50">
        <f>N72-0</f>
        <v>0</v>
      </c>
      <c r="R72" s="126"/>
    </row>
    <row r="73" spans="1:18" s="6" customFormat="1" ht="15.75" hidden="1">
      <c r="A73" s="8"/>
      <c r="B73" s="12" t="s">
        <v>73</v>
      </c>
      <c r="C73" s="59" t="s">
        <v>98</v>
      </c>
      <c r="D73" s="36">
        <v>0</v>
      </c>
      <c r="E73" s="36">
        <v>0</v>
      </c>
      <c r="F73" s="143">
        <v>0</v>
      </c>
      <c r="G73" s="43">
        <f t="shared" si="12"/>
        <v>0</v>
      </c>
      <c r="H73" s="35" t="e">
        <f>F73/E73*100</f>
        <v>#DIV/0!</v>
      </c>
      <c r="I73" s="50">
        <f t="shared" si="14"/>
        <v>0</v>
      </c>
      <c r="J73" s="50" t="e">
        <f>F73/D73*100</f>
        <v>#DIV/0!</v>
      </c>
      <c r="K73" s="50"/>
      <c r="L73" s="50">
        <f t="shared" si="18"/>
        <v>0</v>
      </c>
      <c r="M73" s="35">
        <f>E73-'січень '!M98</f>
        <v>0</v>
      </c>
      <c r="N73" s="35">
        <f>F73-'січень-2'!F72</f>
        <v>0</v>
      </c>
      <c r="O73" s="47">
        <f t="shared" si="16"/>
        <v>0</v>
      </c>
      <c r="P73" s="50" t="e">
        <f aca="true" t="shared" si="19" ref="P73:P79">N73/M73*100</f>
        <v>#DIV/0!</v>
      </c>
      <c r="Q73" s="50"/>
      <c r="R73" s="126"/>
    </row>
    <row r="74" spans="1:18" s="6" customFormat="1" ht="15.75" customHeight="1">
      <c r="A74" s="8"/>
      <c r="B74" s="14" t="s">
        <v>73</v>
      </c>
      <c r="C74" s="13" t="s">
        <v>99</v>
      </c>
      <c r="D74" s="36">
        <v>4200</v>
      </c>
      <c r="E74" s="36">
        <v>650</v>
      </c>
      <c r="F74" s="143">
        <v>487.03</v>
      </c>
      <c r="G74" s="43">
        <f t="shared" si="12"/>
        <v>-162.97000000000003</v>
      </c>
      <c r="H74" s="35">
        <f>F74/E74*100</f>
        <v>74.92769230769231</v>
      </c>
      <c r="I74" s="50">
        <f t="shared" si="14"/>
        <v>-3712.9700000000003</v>
      </c>
      <c r="J74" s="50">
        <f>F74/D74*100</f>
        <v>11.595952380952381</v>
      </c>
      <c r="K74" s="50">
        <f>F74-277.38</f>
        <v>209.64999999999998</v>
      </c>
      <c r="L74" s="50">
        <f>F74/277.38*100</f>
        <v>175.58223375874252</v>
      </c>
      <c r="M74" s="35">
        <f>E74-'січень-2'!M73</f>
        <v>370</v>
      </c>
      <c r="N74" s="35">
        <f>F74-'січень-2'!F73</f>
        <v>223.82999999999998</v>
      </c>
      <c r="O74" s="47">
        <f t="shared" si="16"/>
        <v>-146.17000000000002</v>
      </c>
      <c r="P74" s="50">
        <f t="shared" si="19"/>
        <v>60.49459459459459</v>
      </c>
      <c r="Q74" s="50">
        <f>N74-277.38</f>
        <v>-53.55000000000001</v>
      </c>
      <c r="R74" s="126">
        <f>N74/277.38</f>
        <v>0.8069435431537962</v>
      </c>
    </row>
    <row r="75" spans="1:18" s="6" customFormat="1" ht="31.5" customHeight="1" hidden="1">
      <c r="A75" s="8"/>
      <c r="B75" s="14" t="s">
        <v>100</v>
      </c>
      <c r="C75" s="83" t="s">
        <v>101</v>
      </c>
      <c r="D75" s="36">
        <v>0</v>
      </c>
      <c r="E75" s="36">
        <v>0</v>
      </c>
      <c r="F75" s="143">
        <v>0</v>
      </c>
      <c r="G75" s="43">
        <f t="shared" si="12"/>
        <v>0</v>
      </c>
      <c r="H75" s="35" t="e">
        <f>F75/E75*100</f>
        <v>#DIV/0!</v>
      </c>
      <c r="I75" s="50">
        <f t="shared" si="14"/>
        <v>0</v>
      </c>
      <c r="J75" s="50" t="e">
        <f>F75/D75*100</f>
        <v>#DIV/0!</v>
      </c>
      <c r="K75" s="50"/>
      <c r="L75" s="50">
        <f t="shared" si="18"/>
        <v>0</v>
      </c>
      <c r="M75" s="35">
        <f>E75-'січень-2'!M74</f>
        <v>0</v>
      </c>
      <c r="N75" s="35">
        <f>F75-'січень-2'!F74</f>
        <v>0</v>
      </c>
      <c r="O75" s="47">
        <f t="shared" si="16"/>
        <v>0</v>
      </c>
      <c r="P75" s="50" t="e">
        <f t="shared" si="19"/>
        <v>#DIV/0!</v>
      </c>
      <c r="Q75" s="50"/>
      <c r="R75" s="126">
        <f>N75/277.38</f>
        <v>0</v>
      </c>
    </row>
    <row r="76" spans="1:18" s="6" customFormat="1" ht="15.75" hidden="1">
      <c r="A76" s="8"/>
      <c r="B76" s="14" t="s">
        <v>102</v>
      </c>
      <c r="C76" s="83" t="s">
        <v>103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 t="shared" si="18"/>
        <v>0</v>
      </c>
      <c r="M76" s="35">
        <f>E76-'січень-2'!M75</f>
        <v>0</v>
      </c>
      <c r="N76" s="35">
        <f>F76-'січень-2'!F75</f>
        <v>0</v>
      </c>
      <c r="O76" s="47">
        <f t="shared" si="16"/>
        <v>0</v>
      </c>
      <c r="P76" s="50" t="e">
        <f t="shared" si="19"/>
        <v>#DIV/0!</v>
      </c>
      <c r="Q76" s="50"/>
      <c r="R76" s="126">
        <f>N76/277.38</f>
        <v>0</v>
      </c>
    </row>
    <row r="77" spans="1:18" s="6" customFormat="1" ht="31.5">
      <c r="A77" s="8"/>
      <c r="B77" s="69" t="s">
        <v>127</v>
      </c>
      <c r="C77" s="83"/>
      <c r="D77" s="135"/>
      <c r="E77" s="135"/>
      <c r="F77" s="144">
        <v>124.1</v>
      </c>
      <c r="G77" s="135">
        <f t="shared" si="12"/>
        <v>124.1</v>
      </c>
      <c r="H77" s="137"/>
      <c r="I77" s="136">
        <f t="shared" si="14"/>
        <v>124.1</v>
      </c>
      <c r="J77" s="136"/>
      <c r="K77" s="136">
        <f>F77-64.93</f>
        <v>59.16999999999999</v>
      </c>
      <c r="L77" s="138">
        <f>F77/64.93*100</f>
        <v>191.12890805482826</v>
      </c>
      <c r="M77" s="137">
        <f>E77-'січень-2'!M76</f>
        <v>0</v>
      </c>
      <c r="N77" s="137">
        <f>F77-'січень-2'!F76</f>
        <v>42.19999999999999</v>
      </c>
      <c r="O77" s="138">
        <f t="shared" si="16"/>
        <v>42.19999999999999</v>
      </c>
      <c r="P77" s="136"/>
      <c r="Q77" s="50">
        <f>N77-64.93</f>
        <v>-22.730000000000018</v>
      </c>
      <c r="R77" s="126">
        <f>N77/64.93</f>
        <v>0.6499306945941781</v>
      </c>
    </row>
    <row r="78" spans="1:18" s="6" customFormat="1" ht="44.25" customHeight="1">
      <c r="A78" s="8"/>
      <c r="B78" s="14" t="s">
        <v>128</v>
      </c>
      <c r="C78" s="59">
        <v>24061900</v>
      </c>
      <c r="D78" s="36">
        <v>13</v>
      </c>
      <c r="E78" s="36">
        <v>0</v>
      </c>
      <c r="F78" s="143">
        <v>0</v>
      </c>
      <c r="G78" s="43">
        <f t="shared" si="12"/>
        <v>0</v>
      </c>
      <c r="H78" s="35"/>
      <c r="I78" s="50">
        <f t="shared" si="14"/>
        <v>-13</v>
      </c>
      <c r="J78" s="50"/>
      <c r="K78" s="50">
        <f>F78-0</f>
        <v>0</v>
      </c>
      <c r="L78" s="50" t="e">
        <f>F78/0*100</f>
        <v>#DIV/0!</v>
      </c>
      <c r="M78" s="35">
        <f>E78-'січень-2'!M77</f>
        <v>0</v>
      </c>
      <c r="N78" s="35">
        <f>F78-'січень-2'!F77</f>
        <v>0</v>
      </c>
      <c r="O78" s="47">
        <f t="shared" si="16"/>
        <v>0</v>
      </c>
      <c r="P78" s="50"/>
      <c r="Q78" s="50"/>
      <c r="R78" s="126"/>
    </row>
    <row r="79" spans="1:18" s="6" customFormat="1" ht="31.5">
      <c r="A79" s="8"/>
      <c r="B79" s="14" t="s">
        <v>129</v>
      </c>
      <c r="C79" s="59">
        <v>31010200</v>
      </c>
      <c r="D79" s="36">
        <v>26.5</v>
      </c>
      <c r="E79" s="36">
        <v>4</v>
      </c>
      <c r="F79" s="143">
        <v>2.04</v>
      </c>
      <c r="G79" s="43">
        <f t="shared" si="12"/>
        <v>-1.96</v>
      </c>
      <c r="H79" s="35">
        <f>F79/E79*100</f>
        <v>51</v>
      </c>
      <c r="I79" s="50">
        <f t="shared" si="14"/>
        <v>-24.46</v>
      </c>
      <c r="J79" s="50">
        <f>F79/D79*100</f>
        <v>7.698113207547171</v>
      </c>
      <c r="K79" s="50">
        <f>F79-2.2</f>
        <v>-0.16000000000000014</v>
      </c>
      <c r="L79" s="50">
        <f>F79/2.21*100</f>
        <v>92.3076923076923</v>
      </c>
      <c r="M79" s="35">
        <f>E79-'січень-2'!M78</f>
        <v>2.2</v>
      </c>
      <c r="N79" s="35">
        <f>F79-'січень-2'!F78</f>
        <v>0.24</v>
      </c>
      <c r="O79" s="47">
        <f t="shared" si="16"/>
        <v>-1.9600000000000002</v>
      </c>
      <c r="P79" s="50">
        <f t="shared" si="19"/>
        <v>10.909090909090907</v>
      </c>
      <c r="Q79" s="50"/>
      <c r="R79" s="126"/>
    </row>
    <row r="80" spans="1:18" s="6" customFormat="1" ht="31.5">
      <c r="A80" s="8"/>
      <c r="B80" s="14" t="s">
        <v>165</v>
      </c>
      <c r="C80" s="59">
        <v>31020000</v>
      </c>
      <c r="D80" s="36">
        <v>0</v>
      </c>
      <c r="E80" s="36">
        <v>0</v>
      </c>
      <c r="F80" s="143">
        <v>0.02</v>
      </c>
      <c r="G80" s="43">
        <f t="shared" si="12"/>
        <v>0.02</v>
      </c>
      <c r="H80" s="35"/>
      <c r="I80" s="50">
        <f t="shared" si="14"/>
        <v>0.02</v>
      </c>
      <c r="J80" s="50"/>
      <c r="K80" s="50"/>
      <c r="L80" s="50"/>
      <c r="M80" s="35">
        <f>E80-'січень-2'!M79</f>
        <v>0</v>
      </c>
      <c r="N80" s="35">
        <f>F80-'січень-2'!F79</f>
        <v>0</v>
      </c>
      <c r="O80" s="47">
        <f t="shared" si="16"/>
        <v>0</v>
      </c>
      <c r="P80" s="50"/>
      <c r="Q80" s="50"/>
      <c r="R80" s="126"/>
    </row>
    <row r="81" spans="1:22" s="6" customFormat="1" ht="18.75">
      <c r="A81" s="9"/>
      <c r="B81" s="17" t="s">
        <v>109</v>
      </c>
      <c r="C81" s="84"/>
      <c r="D81" s="18">
        <f>D8+D48+D79+D80</f>
        <v>530022.6</v>
      </c>
      <c r="E81" s="18">
        <f>E8+E48+E79+E80</f>
        <v>81192.5</v>
      </c>
      <c r="F81" s="18">
        <f>F8+F48+F79+F80</f>
        <v>56982.369999999995</v>
      </c>
      <c r="G81" s="44">
        <f>F81-E81</f>
        <v>-24210.130000000005</v>
      </c>
      <c r="H81" s="45">
        <f>F81/E81*100</f>
        <v>70.18181482279766</v>
      </c>
      <c r="I81" s="31">
        <f>F81-D81</f>
        <v>-473040.23</v>
      </c>
      <c r="J81" s="31">
        <f>F81/D81*100</f>
        <v>10.750932130063887</v>
      </c>
      <c r="K81" s="31">
        <f>F81-34768</f>
        <v>22214.369999999995</v>
      </c>
      <c r="L81" s="31">
        <f>F81/34768*100</f>
        <v>163.89314887252644</v>
      </c>
      <c r="M81" s="18">
        <f>M8+M48+M79+M80</f>
        <v>45098.799999999996</v>
      </c>
      <c r="N81" s="18">
        <f>N8+N48+N79+N80</f>
        <v>18243.853999999992</v>
      </c>
      <c r="O81" s="49">
        <f>N81-M81</f>
        <v>-26854.946000000004</v>
      </c>
      <c r="P81" s="31">
        <f>N81/M81*100</f>
        <v>40.453080791506636</v>
      </c>
      <c r="Q81" s="31">
        <f>N81-34768</f>
        <v>-16524.146000000008</v>
      </c>
      <c r="R81" s="171">
        <f>N81/34768</f>
        <v>0.5247311895996316</v>
      </c>
      <c r="S81" s="172"/>
      <c r="T81" s="166"/>
      <c r="U81" s="175"/>
      <c r="V81" s="175"/>
    </row>
    <row r="82" spans="1:18" s="66" customFormat="1" ht="18.75" hidden="1">
      <c r="A82" s="62"/>
      <c r="B82" s="75" t="s">
        <v>150</v>
      </c>
      <c r="C82" s="85"/>
      <c r="D82" s="64">
        <v>0</v>
      </c>
      <c r="E82" s="112">
        <v>0</v>
      </c>
      <c r="F82" s="112">
        <v>0</v>
      </c>
      <c r="G82" s="102">
        <f>F82-E82</f>
        <v>0</v>
      </c>
      <c r="H82" s="65" t="e">
        <f>F82/E82*100</f>
        <v>#DIV/0!</v>
      </c>
      <c r="I82" s="74">
        <f>F82-D82</f>
        <v>0</v>
      </c>
      <c r="J82" s="46" t="e">
        <f>F82/D82*100</f>
        <v>#DIV/0!</v>
      </c>
      <c r="K82" s="46"/>
      <c r="L82" s="46"/>
      <c r="M82" s="113">
        <f>E82</f>
        <v>0</v>
      </c>
      <c r="N82" s="64"/>
      <c r="O82" s="109">
        <f>N82-M82</f>
        <v>0</v>
      </c>
      <c r="P82" s="46" t="e">
        <f>N82/M82*100</f>
        <v>#DIV/0!</v>
      </c>
      <c r="Q82" s="46"/>
      <c r="R82" s="128"/>
    </row>
    <row r="83" spans="1:18" s="66" customFormat="1" ht="18.75" hidden="1">
      <c r="A83" s="62"/>
      <c r="B83" s="76" t="s">
        <v>152</v>
      </c>
      <c r="C83" s="85"/>
      <c r="D83" s="77">
        <v>1171.6179</v>
      </c>
      <c r="E83" s="64">
        <v>1171.6179</v>
      </c>
      <c r="F83" s="112">
        <f>'[1]січень'!$C$27/1000</f>
        <v>0</v>
      </c>
      <c r="G83" s="55">
        <f>F83-E83</f>
        <v>-1171.6179</v>
      </c>
      <c r="H83" s="65"/>
      <c r="I83" s="78">
        <f>F83-D83</f>
        <v>-1171.6179</v>
      </c>
      <c r="J83" s="46"/>
      <c r="K83" s="46"/>
      <c r="L83" s="46"/>
      <c r="M83" s="35">
        <f>E83</f>
        <v>1171.6179</v>
      </c>
      <c r="N83" s="64">
        <f>F83</f>
        <v>0</v>
      </c>
      <c r="O83" s="79">
        <f>N83-M83</f>
        <v>-1171.6179</v>
      </c>
      <c r="P83" s="46">
        <f>N83/M83*100</f>
        <v>0</v>
      </c>
      <c r="Q83" s="46"/>
      <c r="R83" s="128"/>
    </row>
    <row r="84" spans="1:18" s="66" customFormat="1" ht="37.5" hidden="1">
      <c r="A84" s="62"/>
      <c r="B84" s="76" t="s">
        <v>177</v>
      </c>
      <c r="C84" s="85"/>
      <c r="D84" s="77"/>
      <c r="E84" s="43">
        <v>0</v>
      </c>
      <c r="F84" s="147">
        <v>0</v>
      </c>
      <c r="G84" s="55">
        <f>F84-E84</f>
        <v>0</v>
      </c>
      <c r="H84" s="65"/>
      <c r="I84" s="78"/>
      <c r="J84" s="46"/>
      <c r="K84" s="46"/>
      <c r="L84" s="46"/>
      <c r="M84" s="35">
        <v>0</v>
      </c>
      <c r="N84" s="77">
        <v>0</v>
      </c>
      <c r="O84" s="109">
        <f>N84-M84</f>
        <v>0</v>
      </c>
      <c r="P84" s="46"/>
      <c r="Q84" s="46"/>
      <c r="R84" s="128"/>
    </row>
    <row r="85" spans="2:18" ht="15.75">
      <c r="B85" s="25" t="s">
        <v>110</v>
      </c>
      <c r="C85" s="86"/>
      <c r="D85" s="28"/>
      <c r="E85" s="28"/>
      <c r="F85" s="146"/>
      <c r="G85" s="43"/>
      <c r="H85" s="35"/>
      <c r="I85" s="53"/>
      <c r="J85" s="53"/>
      <c r="K85" s="53"/>
      <c r="L85" s="53"/>
      <c r="M85" s="36"/>
      <c r="N85" s="36"/>
      <c r="O85" s="47"/>
      <c r="P85" s="53"/>
      <c r="Q85" s="53"/>
      <c r="R85" s="129"/>
    </row>
    <row r="86" spans="2:18" ht="31.5">
      <c r="B86" s="26" t="s">
        <v>170</v>
      </c>
      <c r="C86" s="97">
        <v>18041500</v>
      </c>
      <c r="D86" s="28">
        <v>0</v>
      </c>
      <c r="E86" s="28">
        <v>0</v>
      </c>
      <c r="F86" s="146">
        <v>-7.17</v>
      </c>
      <c r="G86" s="43">
        <f aca="true" t="shared" si="20" ref="G86:G94">F86-E86</f>
        <v>-7.17</v>
      </c>
      <c r="H86" s="35"/>
      <c r="I86" s="53">
        <f aca="true" t="shared" si="21" ref="I86:I93">F86-D86</f>
        <v>-7.17</v>
      </c>
      <c r="J86" s="53"/>
      <c r="K86" s="53">
        <f>F86-24.53</f>
        <v>-31.700000000000003</v>
      </c>
      <c r="L86" s="53">
        <f>F86/24.53*100</f>
        <v>-29.229514879739092</v>
      </c>
      <c r="M86" s="35">
        <f>E86-'січень-2'!E85</f>
        <v>0</v>
      </c>
      <c r="N86" s="35">
        <f>F86-'січень-2'!F85</f>
        <v>-11.57</v>
      </c>
      <c r="O86" s="47">
        <f aca="true" t="shared" si="22" ref="O86:O94">N86-M86</f>
        <v>-11.57</v>
      </c>
      <c r="P86" s="53"/>
      <c r="Q86" s="53">
        <f>N86-24.53</f>
        <v>-36.1</v>
      </c>
      <c r="R86" s="129">
        <f>N86/24.53</f>
        <v>-0.471667346106808</v>
      </c>
    </row>
    <row r="87" spans="2:18" ht="15.75">
      <c r="B87" s="32" t="s">
        <v>130</v>
      </c>
      <c r="C87" s="98"/>
      <c r="D87" s="33">
        <f>D86</f>
        <v>0</v>
      </c>
      <c r="E87" s="33">
        <f>E86</f>
        <v>0</v>
      </c>
      <c r="F87" s="145">
        <f>SUM(F86:F86)</f>
        <v>-7.17</v>
      </c>
      <c r="G87" s="55">
        <f t="shared" si="20"/>
        <v>-7.17</v>
      </c>
      <c r="H87" s="65"/>
      <c r="I87" s="54">
        <f t="shared" si="21"/>
        <v>-7.17</v>
      </c>
      <c r="J87" s="54"/>
      <c r="K87" s="54">
        <f>F87-92.85</f>
        <v>-100.02</v>
      </c>
      <c r="L87" s="54">
        <f>F87/92.85*100</f>
        <v>-7.722132471728595</v>
      </c>
      <c r="M87" s="55">
        <f>M86</f>
        <v>0</v>
      </c>
      <c r="N87" s="33">
        <f>SUM(N86:N86)</f>
        <v>-11.57</v>
      </c>
      <c r="O87" s="54">
        <f t="shared" si="22"/>
        <v>-11.57</v>
      </c>
      <c r="P87" s="54"/>
      <c r="Q87" s="54">
        <f>N87-92.85</f>
        <v>-104.41999999999999</v>
      </c>
      <c r="R87" s="130">
        <f>N87/92.85</f>
        <v>-0.12460958535271945</v>
      </c>
    </row>
    <row r="88" spans="2:18" ht="47.25" hidden="1">
      <c r="B88" s="26" t="s">
        <v>121</v>
      </c>
      <c r="C88" s="98">
        <v>21110000</v>
      </c>
      <c r="D88" s="28">
        <v>0</v>
      </c>
      <c r="E88" s="28"/>
      <c r="F88" s="146">
        <v>0</v>
      </c>
      <c r="G88" s="43">
        <f t="shared" si="20"/>
        <v>0</v>
      </c>
      <c r="H88" s="35" t="e">
        <f aca="true" t="shared" si="23" ref="H88:H94">F88/E88*100</f>
        <v>#DIV/0!</v>
      </c>
      <c r="I88" s="53">
        <f t="shared" si="21"/>
        <v>0</v>
      </c>
      <c r="J88" s="53" t="e">
        <f aca="true" t="shared" si="24" ref="J88:J93">F88/D88*100</f>
        <v>#DIV/0!</v>
      </c>
      <c r="K88" s="53"/>
      <c r="L88" s="53"/>
      <c r="M88" s="36">
        <v>0</v>
      </c>
      <c r="N88" s="36">
        <f>F88</f>
        <v>0</v>
      </c>
      <c r="O88" s="47">
        <f t="shared" si="22"/>
        <v>0</v>
      </c>
      <c r="P88" s="53"/>
      <c r="Q88" s="53"/>
      <c r="R88" s="129"/>
    </row>
    <row r="89" spans="2:18" ht="31.5">
      <c r="B89" s="26" t="s">
        <v>111</v>
      </c>
      <c r="C89" s="97">
        <v>31030000</v>
      </c>
      <c r="D89" s="167">
        <v>2500</v>
      </c>
      <c r="E89" s="28">
        <v>0</v>
      </c>
      <c r="F89" s="146">
        <v>0.04</v>
      </c>
      <c r="G89" s="43">
        <f t="shared" si="20"/>
        <v>0.04</v>
      </c>
      <c r="H89" s="35"/>
      <c r="I89" s="53">
        <f t="shared" si="21"/>
        <v>-2499.96</v>
      </c>
      <c r="J89" s="53">
        <f t="shared" si="24"/>
        <v>0.0015999999999999999</v>
      </c>
      <c r="K89" s="53">
        <f>F89-0.04</f>
        <v>0</v>
      </c>
      <c r="L89" s="53">
        <f>F89/0.04*100</f>
        <v>100</v>
      </c>
      <c r="M89" s="35">
        <f>E89-'січень-2'!E88</f>
        <v>0</v>
      </c>
      <c r="N89" s="35">
        <f>F89-'січень-2'!F88</f>
        <v>0.010000000000000002</v>
      </c>
      <c r="O89" s="47">
        <f t="shared" si="22"/>
        <v>0.010000000000000002</v>
      </c>
      <c r="P89" s="53"/>
      <c r="Q89" s="53">
        <f>N89-0.04</f>
        <v>-0.03</v>
      </c>
      <c r="R89" s="129">
        <f>N89/0.04</f>
        <v>0.25000000000000006</v>
      </c>
    </row>
    <row r="90" spans="2:18" ht="15.75">
      <c r="B90" s="26" t="s">
        <v>112</v>
      </c>
      <c r="C90" s="97">
        <v>33010000</v>
      </c>
      <c r="D90" s="167">
        <v>11576</v>
      </c>
      <c r="E90" s="28">
        <v>355.978</v>
      </c>
      <c r="F90" s="146">
        <v>259.69</v>
      </c>
      <c r="G90" s="43">
        <f t="shared" si="20"/>
        <v>-96.28800000000001</v>
      </c>
      <c r="H90" s="35">
        <f t="shared" si="23"/>
        <v>72.95113742984117</v>
      </c>
      <c r="I90" s="53">
        <f t="shared" si="21"/>
        <v>-11316.31</v>
      </c>
      <c r="J90" s="53">
        <f t="shared" si="24"/>
        <v>2.2433483068417415</v>
      </c>
      <c r="K90" s="53">
        <f>F90-450.01</f>
        <v>-190.32</v>
      </c>
      <c r="L90" s="53">
        <f>F90/450.01*100</f>
        <v>57.70760649763339</v>
      </c>
      <c r="M90" s="35">
        <f>E90-'січень-2'!E89</f>
        <v>96.28000000000003</v>
      </c>
      <c r="N90" s="35">
        <f>F90-'січень-2'!F89</f>
        <v>0</v>
      </c>
      <c r="O90" s="47">
        <f t="shared" si="22"/>
        <v>-96.28000000000003</v>
      </c>
      <c r="P90" s="53">
        <f>N90/M90*100</f>
        <v>0</v>
      </c>
      <c r="Q90" s="53">
        <f>N90-450.01</f>
        <v>-450.01</v>
      </c>
      <c r="R90" s="129">
        <f>N90/450.01</f>
        <v>0</v>
      </c>
    </row>
    <row r="91" spans="2:18" ht="31.5">
      <c r="B91" s="26" t="s">
        <v>156</v>
      </c>
      <c r="C91" s="97">
        <v>24170000</v>
      </c>
      <c r="D91" s="167">
        <v>3000</v>
      </c>
      <c r="E91" s="28">
        <v>148.1</v>
      </c>
      <c r="F91" s="146">
        <v>-4.12</v>
      </c>
      <c r="G91" s="43">
        <f t="shared" si="20"/>
        <v>-152.22</v>
      </c>
      <c r="H91" s="35">
        <f t="shared" si="23"/>
        <v>-2.7819041188386224</v>
      </c>
      <c r="I91" s="53">
        <f t="shared" si="21"/>
        <v>-3004.12</v>
      </c>
      <c r="J91" s="53">
        <f t="shared" si="24"/>
        <v>-0.13733333333333334</v>
      </c>
      <c r="K91" s="53">
        <f>F91-1.05</f>
        <v>-5.17</v>
      </c>
      <c r="L91" s="53">
        <f>F91/1.05*100</f>
        <v>-392.38095238095235</v>
      </c>
      <c r="M91" s="35">
        <f>E91-'січень-2'!E90</f>
        <v>148.1</v>
      </c>
      <c r="N91" s="35">
        <f>F91-'січень-2'!F90</f>
        <v>11.919999999999998</v>
      </c>
      <c r="O91" s="47">
        <f t="shared" si="22"/>
        <v>-136.18</v>
      </c>
      <c r="P91" s="53">
        <f>N91/M91*100</f>
        <v>8.048615800135044</v>
      </c>
      <c r="Q91" s="53">
        <f>N91-1.05</f>
        <v>10.869999999999997</v>
      </c>
      <c r="R91" s="129">
        <f>N91/1.05</f>
        <v>11.35238095238095</v>
      </c>
    </row>
    <row r="92" spans="2:19" ht="34.5">
      <c r="B92" s="32" t="s">
        <v>144</v>
      </c>
      <c r="C92" s="87"/>
      <c r="D92" s="33">
        <f>D89+D90+D91</f>
        <v>17076</v>
      </c>
      <c r="E92" s="33">
        <f>E89+E90+E91</f>
        <v>504.078</v>
      </c>
      <c r="F92" s="145">
        <f>F89+F90+F91</f>
        <v>255.61</v>
      </c>
      <c r="G92" s="55">
        <f t="shared" si="20"/>
        <v>-248.46799999999996</v>
      </c>
      <c r="H92" s="65">
        <f t="shared" si="23"/>
        <v>50.70842210927674</v>
      </c>
      <c r="I92" s="54">
        <f t="shared" si="21"/>
        <v>-16820.39</v>
      </c>
      <c r="J92" s="54">
        <f t="shared" si="24"/>
        <v>1.496896228624971</v>
      </c>
      <c r="K92" s="54">
        <f>F92-7985.28</f>
        <v>-7729.67</v>
      </c>
      <c r="L92" s="54">
        <f>F92/7985.28*100</f>
        <v>3.201014867355935</v>
      </c>
      <c r="M92" s="55">
        <f>M89+M90+M91</f>
        <v>244.38000000000002</v>
      </c>
      <c r="N92" s="55">
        <f>N89+N90+N91</f>
        <v>11.929999999999998</v>
      </c>
      <c r="O92" s="54">
        <f t="shared" si="22"/>
        <v>-232.45000000000002</v>
      </c>
      <c r="P92" s="54">
        <f>N92/M92*100</f>
        <v>4.881741550045011</v>
      </c>
      <c r="Q92" s="54">
        <f>N92-7985.28</f>
        <v>-7973.349999999999</v>
      </c>
      <c r="R92" s="173">
        <f>N92/7985.28</f>
        <v>0.0014939989580828722</v>
      </c>
      <c r="S92" s="174"/>
    </row>
    <row r="93" spans="2:18" ht="47.25">
      <c r="B93" s="14" t="s">
        <v>124</v>
      </c>
      <c r="C93" s="100">
        <v>24062100</v>
      </c>
      <c r="D93" s="167">
        <v>35</v>
      </c>
      <c r="E93" s="28">
        <v>0</v>
      </c>
      <c r="F93" s="146">
        <v>0</v>
      </c>
      <c r="G93" s="43">
        <f t="shared" si="20"/>
        <v>0</v>
      </c>
      <c r="H93" s="35"/>
      <c r="I93" s="53">
        <f t="shared" si="21"/>
        <v>-35</v>
      </c>
      <c r="J93" s="53">
        <f t="shared" si="24"/>
        <v>0</v>
      </c>
      <c r="K93" s="53">
        <f>F93-0.16</f>
        <v>-0.16</v>
      </c>
      <c r="L93" s="53">
        <f>F93/0.16*100</f>
        <v>0</v>
      </c>
      <c r="M93" s="35">
        <f>E93-'січень-2'!E92</f>
        <v>0</v>
      </c>
      <c r="N93" s="35">
        <f>F93-'січень-2'!F92</f>
        <v>0</v>
      </c>
      <c r="O93" s="47">
        <f t="shared" si="22"/>
        <v>0</v>
      </c>
      <c r="P93" s="53"/>
      <c r="Q93" s="53">
        <f>N93-0.16</f>
        <v>-0.16</v>
      </c>
      <c r="R93" s="129">
        <f>N93/0.16</f>
        <v>0</v>
      </c>
    </row>
    <row r="94" spans="2:18" ht="15.75" hidden="1">
      <c r="B94" s="37"/>
      <c r="C94" s="100">
        <v>24062100</v>
      </c>
      <c r="D94" s="28">
        <v>0</v>
      </c>
      <c r="E94" s="28">
        <v>0</v>
      </c>
      <c r="F94" s="146">
        <v>0</v>
      </c>
      <c r="G94" s="43">
        <f t="shared" si="20"/>
        <v>0</v>
      </c>
      <c r="H94" s="35" t="e">
        <f t="shared" si="23"/>
        <v>#DIV/0!</v>
      </c>
      <c r="I94" s="56"/>
      <c r="J94" s="56"/>
      <c r="K94" s="56"/>
      <c r="L94" s="53">
        <f>F94</f>
        <v>0</v>
      </c>
      <c r="M94" s="35">
        <f>E94-'січень-2'!E93</f>
        <v>0</v>
      </c>
      <c r="N94" s="35">
        <f>F94-'січень-2'!F93</f>
        <v>0</v>
      </c>
      <c r="O94" s="47">
        <f t="shared" si="22"/>
        <v>0</v>
      </c>
      <c r="P94" s="56"/>
      <c r="Q94" s="56"/>
      <c r="R94" s="131"/>
    </row>
    <row r="95" spans="2:18" ht="15.75">
      <c r="B95" s="26" t="s">
        <v>146</v>
      </c>
      <c r="C95" s="97">
        <v>24061600</v>
      </c>
      <c r="D95" s="167">
        <v>19</v>
      </c>
      <c r="E95" s="28">
        <v>0</v>
      </c>
      <c r="F95" s="146">
        <v>0</v>
      </c>
      <c r="G95" s="43"/>
      <c r="H95" s="35"/>
      <c r="I95" s="56"/>
      <c r="J95" s="56"/>
      <c r="K95" s="47">
        <f>F95-8.76</f>
        <v>-8.76</v>
      </c>
      <c r="L95" s="53">
        <f>F95/8.76*100</f>
        <v>0</v>
      </c>
      <c r="M95" s="35">
        <f>E95-'січень-2'!E94</f>
        <v>0</v>
      </c>
      <c r="N95" s="35">
        <f>F95-'січень-2'!F94</f>
        <v>0</v>
      </c>
      <c r="O95" s="47"/>
      <c r="P95" s="56"/>
      <c r="Q95" s="56">
        <f>N95-8.76</f>
        <v>-8.76</v>
      </c>
      <c r="R95" s="131">
        <f>N95/8.76</f>
        <v>0</v>
      </c>
    </row>
    <row r="96" spans="2:18" ht="31.5">
      <c r="B96" s="26" t="s">
        <v>140</v>
      </c>
      <c r="C96" s="97">
        <v>19050000</v>
      </c>
      <c r="D96" s="28">
        <v>0</v>
      </c>
      <c r="E96" s="28">
        <v>0</v>
      </c>
      <c r="F96" s="146">
        <v>0.32</v>
      </c>
      <c r="G96" s="43">
        <f>F96-E96</f>
        <v>0.32</v>
      </c>
      <c r="H96" s="35"/>
      <c r="I96" s="53">
        <f>F96-D96</f>
        <v>0.32</v>
      </c>
      <c r="J96" s="53"/>
      <c r="K96" s="53">
        <f>F96-(-0.21)</f>
        <v>0.53</v>
      </c>
      <c r="L96" s="53"/>
      <c r="M96" s="35">
        <f>E96-'січень-2'!E95</f>
        <v>0</v>
      </c>
      <c r="N96" s="35">
        <f>F96-'січень-2'!F95</f>
        <v>0.15</v>
      </c>
      <c r="O96" s="47">
        <f>N96-M96</f>
        <v>0.15</v>
      </c>
      <c r="P96" s="53"/>
      <c r="Q96" s="53">
        <f>N96-(-0.21)</f>
        <v>0.36</v>
      </c>
      <c r="R96" s="129"/>
    </row>
    <row r="97" spans="2:18" ht="31.5">
      <c r="B97" s="32" t="s">
        <v>134</v>
      </c>
      <c r="C97" s="97"/>
      <c r="D97" s="33">
        <f>D93+D96+D95</f>
        <v>54</v>
      </c>
      <c r="E97" s="33">
        <f>E93+E96+E95</f>
        <v>0</v>
      </c>
      <c r="F97" s="145">
        <f>F93+F96+F95</f>
        <v>0.32</v>
      </c>
      <c r="G97" s="55">
        <f>F97-E97</f>
        <v>0.32</v>
      </c>
      <c r="H97" s="65"/>
      <c r="I97" s="54">
        <f>F97-D97</f>
        <v>-53.68</v>
      </c>
      <c r="J97" s="54">
        <f>F97/D97*100</f>
        <v>0.5925925925925926</v>
      </c>
      <c r="K97" s="54">
        <f>F97-26.38</f>
        <v>-26.06</v>
      </c>
      <c r="L97" s="54">
        <f>F97/26.38*100</f>
        <v>1.2130401819560273</v>
      </c>
      <c r="M97" s="55">
        <f>M93+M96+M95</f>
        <v>0</v>
      </c>
      <c r="N97" s="55">
        <f>N93+N96+N95</f>
        <v>0.15</v>
      </c>
      <c r="O97" s="54">
        <f>N97-M97</f>
        <v>0.15</v>
      </c>
      <c r="P97" s="54"/>
      <c r="Q97" s="54">
        <f>N97-26.38</f>
        <v>-26.23</v>
      </c>
      <c r="R97" s="128">
        <f>N97/26.38</f>
        <v>0.005686125852918878</v>
      </c>
    </row>
    <row r="98" spans="2:18" ht="31.5">
      <c r="B98" s="14" t="s">
        <v>125</v>
      </c>
      <c r="C98" s="59">
        <v>24110900</v>
      </c>
      <c r="D98" s="167">
        <v>42</v>
      </c>
      <c r="E98" s="28">
        <v>2.59</v>
      </c>
      <c r="F98" s="146">
        <v>0.59</v>
      </c>
      <c r="G98" s="43">
        <f>F98-E98</f>
        <v>-2</v>
      </c>
      <c r="H98" s="35">
        <f>F98/E98*100</f>
        <v>22.779922779922778</v>
      </c>
      <c r="I98" s="53">
        <f>F98-D98</f>
        <v>-41.41</v>
      </c>
      <c r="J98" s="53">
        <f>F98/D98*100</f>
        <v>1.4047619047619047</v>
      </c>
      <c r="K98" s="53">
        <f>F98-0.45</f>
        <v>0.13999999999999996</v>
      </c>
      <c r="L98" s="53">
        <f>F98/0.45*100</f>
        <v>131.11111111111111</v>
      </c>
      <c r="M98" s="35">
        <f>E98-'січень-2'!E97</f>
        <v>2</v>
      </c>
      <c r="N98" s="35">
        <f>F98-'січень-2'!F97</f>
        <v>0</v>
      </c>
      <c r="O98" s="47">
        <f>N98-M98</f>
        <v>-2</v>
      </c>
      <c r="P98" s="53">
        <f>N98/M98*100</f>
        <v>0</v>
      </c>
      <c r="Q98" s="53">
        <f>N98-0.45</f>
        <v>-0.45</v>
      </c>
      <c r="R98" s="129">
        <f>N98/0.45</f>
        <v>0</v>
      </c>
    </row>
    <row r="99" spans="2:18" ht="23.25" customHeight="1">
      <c r="B99" s="17" t="s">
        <v>114</v>
      </c>
      <c r="C99" s="88"/>
      <c r="D99" s="27">
        <f>D87+D98+D92+D97</f>
        <v>17172</v>
      </c>
      <c r="E99" s="27">
        <f>E87+E98+E92+E97</f>
        <v>506.66799999999995</v>
      </c>
      <c r="F99" s="27">
        <f>F87+F98+F92+F97</f>
        <v>249.35</v>
      </c>
      <c r="G99" s="44">
        <f>F99-E99</f>
        <v>-257.318</v>
      </c>
      <c r="H99" s="45">
        <f>F99/E99*100</f>
        <v>49.21368627977295</v>
      </c>
      <c r="I99" s="31">
        <f>F99-D99</f>
        <v>-16922.65</v>
      </c>
      <c r="J99" s="31">
        <f>F99/D99*100</f>
        <v>1.4520731423247146</v>
      </c>
      <c r="K99" s="31">
        <f>F99-8104.96</f>
        <v>-7855.61</v>
      </c>
      <c r="L99" s="31">
        <f>F99/8104.96*100</f>
        <v>3.0765111734049273</v>
      </c>
      <c r="M99" s="27">
        <f>M87+M98+M92+M97</f>
        <v>246.38000000000002</v>
      </c>
      <c r="N99" s="27">
        <f>N87+N98+N92+N97</f>
        <v>0.5099999999999977</v>
      </c>
      <c r="O99" s="31">
        <f>N99-M99</f>
        <v>-245.87000000000003</v>
      </c>
      <c r="P99" s="31">
        <f>N99/M99*100</f>
        <v>0.2069973212111363</v>
      </c>
      <c r="Q99" s="31">
        <f>N99-8104.96</f>
        <v>-8104.45</v>
      </c>
      <c r="R99" s="127">
        <f>N99/8104.96</f>
        <v>6.292443145925429E-05</v>
      </c>
    </row>
    <row r="100" spans="2:18" ht="18.75">
      <c r="B100" s="24" t="s">
        <v>115</v>
      </c>
      <c r="C100" s="88"/>
      <c r="D100" s="27">
        <f>D81+D99</f>
        <v>547194.6</v>
      </c>
      <c r="E100" s="27">
        <f>E81+E99</f>
        <v>81699.168</v>
      </c>
      <c r="F100" s="27">
        <f>F81+F99</f>
        <v>57231.719999999994</v>
      </c>
      <c r="G100" s="44">
        <f>F100-E100</f>
        <v>-24467.44800000001</v>
      </c>
      <c r="H100" s="45">
        <f>F100/E100*100</f>
        <v>70.05177825066711</v>
      </c>
      <c r="I100" s="31">
        <f>F100-D100</f>
        <v>-489962.88</v>
      </c>
      <c r="J100" s="31">
        <f>F100/D100*100</f>
        <v>10.459116372858942</v>
      </c>
      <c r="K100" s="31">
        <f>F100-42872.96</f>
        <v>14358.759999999995</v>
      </c>
      <c r="L100" s="31">
        <f>F100/42872.96*100</f>
        <v>133.49141276926062</v>
      </c>
      <c r="M100" s="18">
        <f>M81+M99</f>
        <v>45345.17999999999</v>
      </c>
      <c r="N100" s="18">
        <f>N81+N99</f>
        <v>18244.36399999999</v>
      </c>
      <c r="O100" s="31">
        <f>N100-M100</f>
        <v>-27100.816000000003</v>
      </c>
      <c r="P100" s="31">
        <f>N100/M100*100</f>
        <v>40.23440639115336</v>
      </c>
      <c r="Q100" s="31">
        <f>N100-42872.96</f>
        <v>-24628.59600000001</v>
      </c>
      <c r="R100" s="127">
        <f>N100/42872.96</f>
        <v>0.4255447722760451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11</v>
      </c>
      <c r="D102" s="4" t="s">
        <v>118</v>
      </c>
    </row>
    <row r="103" spans="2:17" ht="31.5">
      <c r="B103" s="71" t="s">
        <v>154</v>
      </c>
      <c r="C103" s="34">
        <f>IF(O81&lt;0,ABS(O81/C102),0)</f>
        <v>2441.3587272727277</v>
      </c>
      <c r="D103" s="4" t="s">
        <v>104</v>
      </c>
      <c r="G103" s="192"/>
      <c r="H103" s="192"/>
      <c r="I103" s="192"/>
      <c r="J103" s="192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42047</v>
      </c>
      <c r="D104" s="34">
        <v>2023.4</v>
      </c>
      <c r="N104" s="188"/>
      <c r="O104" s="188"/>
    </row>
    <row r="105" spans="3:15" ht="15.75">
      <c r="C105" s="111">
        <v>42046</v>
      </c>
      <c r="D105" s="34">
        <v>1756.6</v>
      </c>
      <c r="F105" s="155" t="s">
        <v>166</v>
      </c>
      <c r="G105" s="181"/>
      <c r="H105" s="181"/>
      <c r="I105" s="177"/>
      <c r="J105" s="180"/>
      <c r="K105" s="180"/>
      <c r="L105" s="180"/>
      <c r="M105" s="180"/>
      <c r="N105" s="188"/>
      <c r="O105" s="188"/>
    </row>
    <row r="106" spans="3:15" ht="15.75" customHeight="1">
      <c r="C106" s="111">
        <v>42045</v>
      </c>
      <c r="D106" s="34">
        <v>1146.3</v>
      </c>
      <c r="G106" s="179" t="s">
        <v>151</v>
      </c>
      <c r="H106" s="179"/>
      <c r="I106" s="106">
        <v>8909.73</v>
      </c>
      <c r="J106" s="187"/>
      <c r="K106" s="187"/>
      <c r="L106" s="187"/>
      <c r="M106" s="187"/>
      <c r="N106" s="188"/>
      <c r="O106" s="188"/>
    </row>
    <row r="107" spans="7:13" ht="15.75" customHeight="1">
      <c r="G107" s="189" t="s">
        <v>155</v>
      </c>
      <c r="H107" s="189"/>
      <c r="I107" s="103">
        <v>0</v>
      </c>
      <c r="J107" s="180"/>
      <c r="K107" s="180"/>
      <c r="L107" s="180"/>
      <c r="M107" s="180"/>
    </row>
    <row r="108" spans="2:13" ht="18.75" customHeight="1">
      <c r="B108" s="185" t="s">
        <v>160</v>
      </c>
      <c r="C108" s="186"/>
      <c r="D108" s="108">
        <v>123968.41</v>
      </c>
      <c r="E108" s="73"/>
      <c r="F108" s="156" t="s">
        <v>147</v>
      </c>
      <c r="G108" s="179" t="s">
        <v>149</v>
      </c>
      <c r="H108" s="179"/>
      <c r="I108" s="107">
        <v>115058.68</v>
      </c>
      <c r="J108" s="180"/>
      <c r="K108" s="180"/>
      <c r="L108" s="180"/>
      <c r="M108" s="180"/>
    </row>
    <row r="109" spans="7:12" ht="9.75" customHeight="1">
      <c r="G109" s="181"/>
      <c r="H109" s="181"/>
      <c r="I109" s="90"/>
      <c r="J109" s="91"/>
      <c r="K109" s="91"/>
      <c r="L109" s="91"/>
    </row>
    <row r="110" spans="2:12" ht="22.5" customHeight="1" hidden="1">
      <c r="B110" s="182" t="s">
        <v>167</v>
      </c>
      <c r="C110" s="183"/>
      <c r="D110" s="110">
        <v>0</v>
      </c>
      <c r="E110" s="70" t="s">
        <v>104</v>
      </c>
      <c r="G110" s="181"/>
      <c r="H110" s="181"/>
      <c r="I110" s="90"/>
      <c r="J110" s="91"/>
      <c r="K110" s="91"/>
      <c r="L110" s="91"/>
    </row>
    <row r="111" spans="4:15" ht="15.75">
      <c r="D111" s="105"/>
      <c r="N111" s="181"/>
      <c r="O111" s="181"/>
    </row>
    <row r="112" spans="4:15" ht="15.75">
      <c r="D112" s="104"/>
      <c r="I112" s="34"/>
      <c r="N112" s="184"/>
      <c r="O112" s="184"/>
    </row>
    <row r="113" spans="14:15" ht="15.75">
      <c r="N113" s="181"/>
      <c r="O113" s="181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9" right="0.18" top="0.35" bottom="0.39" header="0.17" footer="0.29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9" sqref="I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6" t="s">
        <v>193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17"/>
      <c r="R1" s="118"/>
    </row>
    <row r="2" spans="2:18" s="1" customFormat="1" ht="15.75" customHeight="1">
      <c r="B2" s="207"/>
      <c r="C2" s="207"/>
      <c r="D2" s="207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8"/>
      <c r="B3" s="210" t="s">
        <v>205</v>
      </c>
      <c r="C3" s="211" t="s">
        <v>0</v>
      </c>
      <c r="D3" s="212" t="s">
        <v>216</v>
      </c>
      <c r="E3" s="40"/>
      <c r="F3" s="213" t="s">
        <v>107</v>
      </c>
      <c r="G3" s="214"/>
      <c r="H3" s="214"/>
      <c r="I3" s="214"/>
      <c r="J3" s="215"/>
      <c r="K3" s="114"/>
      <c r="L3" s="114"/>
      <c r="M3" s="216" t="s">
        <v>220</v>
      </c>
      <c r="N3" s="217" t="s">
        <v>175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219</v>
      </c>
      <c r="F4" s="200" t="s">
        <v>116</v>
      </c>
      <c r="G4" s="202" t="s">
        <v>173</v>
      </c>
      <c r="H4" s="226" t="s">
        <v>174</v>
      </c>
      <c r="I4" s="224" t="s">
        <v>217</v>
      </c>
      <c r="J4" s="222" t="s">
        <v>218</v>
      </c>
      <c r="K4" s="116" t="s">
        <v>172</v>
      </c>
      <c r="L4" s="121" t="s">
        <v>171</v>
      </c>
      <c r="M4" s="193"/>
      <c r="N4" s="195" t="s">
        <v>194</v>
      </c>
      <c r="O4" s="224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209"/>
      <c r="B5" s="210"/>
      <c r="C5" s="211"/>
      <c r="D5" s="212"/>
      <c r="E5" s="219"/>
      <c r="F5" s="201"/>
      <c r="G5" s="203"/>
      <c r="H5" s="227"/>
      <c r="I5" s="225"/>
      <c r="J5" s="223"/>
      <c r="K5" s="190" t="s">
        <v>188</v>
      </c>
      <c r="L5" s="191"/>
      <c r="M5" s="194"/>
      <c r="N5" s="196"/>
      <c r="O5" s="225"/>
      <c r="P5" s="217"/>
      <c r="Q5" s="190" t="s">
        <v>176</v>
      </c>
      <c r="R5" s="191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'[1]січень'!$C$27/1000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2"/>
      <c r="H102" s="192"/>
      <c r="I102" s="192"/>
      <c r="J102" s="192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88"/>
      <c r="O103" s="188"/>
    </row>
    <row r="104" spans="3:15" ht="15.75">
      <c r="C104" s="111">
        <v>42033</v>
      </c>
      <c r="D104" s="34">
        <v>2896.5</v>
      </c>
      <c r="F104" s="155" t="s">
        <v>166</v>
      </c>
      <c r="G104" s="179" t="s">
        <v>151</v>
      </c>
      <c r="H104" s="179"/>
      <c r="I104" s="106">
        <f>'січень '!I139</f>
        <v>8909.733</v>
      </c>
      <c r="J104" s="220" t="s">
        <v>161</v>
      </c>
      <c r="K104" s="220"/>
      <c r="L104" s="220"/>
      <c r="M104" s="220"/>
      <c r="N104" s="188"/>
      <c r="O104" s="188"/>
    </row>
    <row r="105" spans="3:15" ht="15.75">
      <c r="C105" s="111">
        <v>42032</v>
      </c>
      <c r="D105" s="34">
        <v>2838.1</v>
      </c>
      <c r="G105" s="189" t="s">
        <v>155</v>
      </c>
      <c r="H105" s="189"/>
      <c r="I105" s="103">
        <f>'січень '!I140</f>
        <v>0</v>
      </c>
      <c r="J105" s="221" t="s">
        <v>162</v>
      </c>
      <c r="K105" s="221"/>
      <c r="L105" s="221"/>
      <c r="M105" s="221"/>
      <c r="N105" s="188"/>
      <c r="O105" s="188"/>
    </row>
    <row r="106" spans="7:13" ht="15.75" customHeight="1">
      <c r="G106" s="179" t="s">
        <v>148</v>
      </c>
      <c r="H106" s="179"/>
      <c r="I106" s="103">
        <f>'січень '!I141</f>
        <v>0</v>
      </c>
      <c r="J106" s="220" t="s">
        <v>163</v>
      </c>
      <c r="K106" s="220"/>
      <c r="L106" s="220"/>
      <c r="M106" s="220"/>
    </row>
    <row r="107" spans="2:13" ht="18.75" customHeight="1">
      <c r="B107" s="185" t="s">
        <v>160</v>
      </c>
      <c r="C107" s="186"/>
      <c r="D107" s="108">
        <f>'січень '!D142</f>
        <v>132375.63</v>
      </c>
      <c r="E107" s="73"/>
      <c r="F107" s="156" t="s">
        <v>147</v>
      </c>
      <c r="G107" s="179" t="s">
        <v>149</v>
      </c>
      <c r="H107" s="179"/>
      <c r="I107" s="107">
        <f>'січень '!I142</f>
        <v>123465.893</v>
      </c>
      <c r="J107" s="220" t="s">
        <v>164</v>
      </c>
      <c r="K107" s="220"/>
      <c r="L107" s="220"/>
      <c r="M107" s="220"/>
    </row>
    <row r="108" spans="7:12" ht="9.75" customHeight="1">
      <c r="G108" s="181"/>
      <c r="H108" s="181"/>
      <c r="I108" s="90"/>
      <c r="J108" s="91"/>
      <c r="K108" s="91"/>
      <c r="L108" s="91"/>
    </row>
    <row r="109" spans="2:12" ht="22.5" customHeight="1" hidden="1">
      <c r="B109" s="182" t="s">
        <v>167</v>
      </c>
      <c r="C109" s="183"/>
      <c r="D109" s="110">
        <v>0</v>
      </c>
      <c r="E109" s="70" t="s">
        <v>104</v>
      </c>
      <c r="G109" s="181"/>
      <c r="H109" s="181"/>
      <c r="I109" s="90"/>
      <c r="J109" s="91"/>
      <c r="K109" s="91"/>
      <c r="L109" s="91"/>
    </row>
    <row r="110" spans="4:15" ht="15.75">
      <c r="D110" s="105"/>
      <c r="N110" s="181"/>
      <c r="O110" s="181"/>
    </row>
    <row r="111" spans="4:15" ht="15.75">
      <c r="D111" s="104"/>
      <c r="I111" s="34"/>
      <c r="N111" s="184"/>
      <c r="O111" s="184"/>
    </row>
    <row r="112" spans="14:15" ht="15.75">
      <c r="N112" s="181"/>
      <c r="O112" s="181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6" t="s">
        <v>193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117"/>
      <c r="R1" s="118"/>
    </row>
    <row r="2" spans="2:18" s="1" customFormat="1" ht="15.75" customHeight="1">
      <c r="B2" s="207"/>
      <c r="C2" s="207"/>
      <c r="D2" s="207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8"/>
      <c r="B3" s="210" t="s">
        <v>203</v>
      </c>
      <c r="C3" s="211" t="s">
        <v>0</v>
      </c>
      <c r="D3" s="212" t="s">
        <v>190</v>
      </c>
      <c r="E3" s="40"/>
      <c r="F3" s="213" t="s">
        <v>107</v>
      </c>
      <c r="G3" s="214"/>
      <c r="H3" s="214"/>
      <c r="I3" s="214"/>
      <c r="J3" s="215"/>
      <c r="K3" s="114"/>
      <c r="L3" s="114"/>
      <c r="M3" s="216" t="s">
        <v>187</v>
      </c>
      <c r="N3" s="217" t="s">
        <v>175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153</v>
      </c>
      <c r="F4" s="200" t="s">
        <v>116</v>
      </c>
      <c r="G4" s="202" t="s">
        <v>173</v>
      </c>
      <c r="H4" s="226" t="s">
        <v>174</v>
      </c>
      <c r="I4" s="224" t="s">
        <v>186</v>
      </c>
      <c r="J4" s="222" t="s">
        <v>189</v>
      </c>
      <c r="K4" s="116" t="s">
        <v>172</v>
      </c>
      <c r="L4" s="121" t="s">
        <v>171</v>
      </c>
      <c r="M4" s="193"/>
      <c r="N4" s="195" t="s">
        <v>194</v>
      </c>
      <c r="O4" s="224" t="s">
        <v>136</v>
      </c>
      <c r="P4" s="217" t="s">
        <v>135</v>
      </c>
      <c r="Q4" s="122" t="s">
        <v>172</v>
      </c>
      <c r="R4" s="123" t="s">
        <v>171</v>
      </c>
    </row>
    <row r="5" spans="1:19" ht="92.25" customHeight="1">
      <c r="A5" s="209"/>
      <c r="B5" s="210"/>
      <c r="C5" s="211"/>
      <c r="D5" s="212"/>
      <c r="E5" s="219"/>
      <c r="F5" s="201"/>
      <c r="G5" s="203"/>
      <c r="H5" s="227"/>
      <c r="I5" s="225"/>
      <c r="J5" s="223"/>
      <c r="K5" s="190" t="s">
        <v>188</v>
      </c>
      <c r="L5" s="191"/>
      <c r="M5" s="194"/>
      <c r="N5" s="196"/>
      <c r="O5" s="225"/>
      <c r="P5" s="217"/>
      <c r="Q5" s="190" t="s">
        <v>176</v>
      </c>
      <c r="R5" s="191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2"/>
      <c r="H137" s="192"/>
      <c r="I137" s="192"/>
      <c r="J137" s="192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88"/>
      <c r="O138" s="188"/>
    </row>
    <row r="139" spans="3:15" ht="15.75">
      <c r="C139" s="111">
        <v>42033</v>
      </c>
      <c r="D139" s="34">
        <v>2896.5</v>
      </c>
      <c r="F139" s="155" t="s">
        <v>166</v>
      </c>
      <c r="G139" s="179" t="s">
        <v>151</v>
      </c>
      <c r="H139" s="179"/>
      <c r="I139" s="106">
        <f>8909.733</f>
        <v>8909.733</v>
      </c>
      <c r="J139" s="220" t="s">
        <v>161</v>
      </c>
      <c r="K139" s="220"/>
      <c r="L139" s="220"/>
      <c r="M139" s="220"/>
      <c r="N139" s="188"/>
      <c r="O139" s="188"/>
    </row>
    <row r="140" spans="3:15" ht="15.75">
      <c r="C140" s="111">
        <v>42032</v>
      </c>
      <c r="D140" s="34">
        <v>2838.1</v>
      </c>
      <c r="G140" s="189" t="s">
        <v>155</v>
      </c>
      <c r="H140" s="189"/>
      <c r="I140" s="103">
        <v>0</v>
      </c>
      <c r="J140" s="221" t="s">
        <v>162</v>
      </c>
      <c r="K140" s="221"/>
      <c r="L140" s="221"/>
      <c r="M140" s="221"/>
      <c r="N140" s="188"/>
      <c r="O140" s="188"/>
    </row>
    <row r="141" spans="7:13" ht="15.75" customHeight="1">
      <c r="G141" s="179" t="s">
        <v>148</v>
      </c>
      <c r="H141" s="179"/>
      <c r="I141" s="103">
        <v>0</v>
      </c>
      <c r="J141" s="220" t="s">
        <v>163</v>
      </c>
      <c r="K141" s="220"/>
      <c r="L141" s="220"/>
      <c r="M141" s="220"/>
    </row>
    <row r="142" spans="2:13" ht="18.75" customHeight="1">
      <c r="B142" s="185" t="s">
        <v>160</v>
      </c>
      <c r="C142" s="186"/>
      <c r="D142" s="108">
        <f>132375.63</f>
        <v>132375.63</v>
      </c>
      <c r="E142" s="73"/>
      <c r="F142" s="156" t="s">
        <v>147</v>
      </c>
      <c r="G142" s="179" t="s">
        <v>149</v>
      </c>
      <c r="H142" s="179"/>
      <c r="I142" s="107">
        <f>123465.893</f>
        <v>123465.893</v>
      </c>
      <c r="J142" s="220" t="s">
        <v>164</v>
      </c>
      <c r="K142" s="220"/>
      <c r="L142" s="220"/>
      <c r="M142" s="220"/>
    </row>
    <row r="143" spans="7:12" ht="9.75" customHeight="1">
      <c r="G143" s="181"/>
      <c r="H143" s="181"/>
      <c r="I143" s="90"/>
      <c r="J143" s="91"/>
      <c r="K143" s="91"/>
      <c r="L143" s="91"/>
    </row>
    <row r="144" spans="2:12" ht="22.5" customHeight="1" hidden="1">
      <c r="B144" s="182" t="s">
        <v>167</v>
      </c>
      <c r="C144" s="183"/>
      <c r="D144" s="110">
        <v>0</v>
      </c>
      <c r="E144" s="70" t="s">
        <v>104</v>
      </c>
      <c r="G144" s="181"/>
      <c r="H144" s="181"/>
      <c r="I144" s="90"/>
      <c r="J144" s="91"/>
      <c r="K144" s="91"/>
      <c r="L144" s="91"/>
    </row>
    <row r="145" spans="4:15" ht="15.75">
      <c r="D145" s="105"/>
      <c r="N145" s="181"/>
      <c r="O145" s="181"/>
    </row>
    <row r="146" spans="4:15" ht="15.75">
      <c r="D146" s="104"/>
      <c r="I146" s="34"/>
      <c r="N146" s="184"/>
      <c r="O146" s="184"/>
    </row>
    <row r="147" spans="14:15" ht="15.75">
      <c r="N147" s="181"/>
      <c r="O147" s="181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2015-02-13T09:25:12Z</cp:lastPrinted>
  <dcterms:created xsi:type="dcterms:W3CDTF">2003-07-28T11:27:56Z</dcterms:created>
  <dcterms:modified xsi:type="dcterms:W3CDTF">2015-02-13T09:36:13Z</dcterms:modified>
  <cp:category/>
  <cp:version/>
  <cp:contentType/>
  <cp:contentStatus/>
</cp:coreProperties>
</file>